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52" windowHeight="8268" activeTab="0"/>
  </bookViews>
  <sheets>
    <sheet name="01.04.2023" sheetId="1" r:id="rId1"/>
  </sheets>
  <definedNames>
    <definedName name="_xlnm._FilterDatabase" localSheetId="0" hidden="1">'01.04.2023'!$A$3:$DT$3</definedName>
    <definedName name="Z_027ED452_6E36_405C_A380_C4AAA8274A51_.wvu.FilterData" localSheetId="0" hidden="1">'01.04.2023'!$A$3:$CA$9</definedName>
    <definedName name="Z_06F3E528_7FD7_45EA_9733_70696AB6E064_.wvu.FilterData" localSheetId="0" hidden="1">'01.04.2023'!$A$3:$DC$10</definedName>
    <definedName name="Z_06F3E528_7FD7_45EA_9733_70696AB6E064_.wvu.PrintTitles" localSheetId="0" hidden="1">'01.04.2023'!$A:$A</definedName>
    <definedName name="Z_1E58ABDF_F5FA_4F2B_9F79_57A1C9A64C57_.wvu.FilterData" localSheetId="0" hidden="1">'01.04.2023'!$A$3:$DC$10</definedName>
    <definedName name="Z_2FCE8099_1417_485A_8511_EE723EEA4481_.wvu.FilterData" localSheetId="0" hidden="1">'01.04.2023'!$A$3:$CA$9</definedName>
    <definedName name="Z_3EA3AE44_20E6_4193_A2F8_53C22C0865C0_.wvu.FilterData" localSheetId="0" hidden="1">'01.04.2023'!$A$3:$DC$10</definedName>
    <definedName name="Z_47618C2E_2D42_45CA_BC54_3925FFBF6CE6_.wvu.FilterData" localSheetId="0" hidden="1">'01.04.2023'!$A$3:$CA$9</definedName>
    <definedName name="Z_5623871A_FE63_4492_ACCA_57FBC37D74A2_.wvu.FilterData" localSheetId="0" hidden="1">'01.04.2023'!$A$3:$CA$9</definedName>
    <definedName name="Z_67FD0576_AFA8_4CFA_A2B0_67851B563777_.wvu.FilterData" localSheetId="0" hidden="1">'01.04.2023'!$A$3:$DC$10</definedName>
    <definedName name="Z_7DFBAF4F_EE4F_4154_8998_FD24AFC87B75_.wvu.FilterData" localSheetId="0" hidden="1">'01.04.2023'!$A$3:$CA$9</definedName>
    <definedName name="Z_83B01B27_C2A7_4B20_A590_F8781D350302_.wvu.FilterData" localSheetId="0" hidden="1">'01.04.2023'!$A$3:$CA$9</definedName>
    <definedName name="Z_8479B930_2ECF_4EA0_A962_FA0F8FFA65E9_.wvu.Cols" localSheetId="0" hidden="1">'01.04.2023'!#REF!</definedName>
    <definedName name="Z_8479B930_2ECF_4EA0_A962_FA0F8FFA65E9_.wvu.FilterData" localSheetId="0" hidden="1">'01.04.2023'!$A$3:$CA$9</definedName>
    <definedName name="Z_8479B930_2ECF_4EA0_A962_FA0F8FFA65E9_.wvu.PrintTitles" localSheetId="0" hidden="1">'01.04.2023'!$A:$A</definedName>
    <definedName name="Z_86509CF0_1693_4145_BD67_1D5B5BC26910_.wvu.Cols" localSheetId="0" hidden="1">'01.04.2023'!$AV:$BM,'01.04.2023'!$BR:$BU</definedName>
    <definedName name="Z_86509CF0_1693_4145_BD67_1D5B5BC26910_.wvu.FilterData" localSheetId="0" hidden="1">'01.04.2023'!$A$3:$CA$9</definedName>
    <definedName name="Z_87FAD824_FED7_4F1B_9277_9B725CB39092_.wvu.FilterData" localSheetId="0" hidden="1">'01.04.2023'!$A$3:$DC$10</definedName>
    <definedName name="Z_9625BFD3_6AEA_44D4_8F34_A9CE23E02485_.wvu.FilterData" localSheetId="0" hidden="1">'01.04.2023'!$A$3:$DC$10</definedName>
    <definedName name="Z_96F19E6A_E9EC_4613_AA7E_553FFAF2726F_.wvu.FilterData" localSheetId="0" hidden="1">'01.04.2023'!$A$3:$CA$9</definedName>
    <definedName name="Z_A073C89F_C785_4083_91CF_BBD92C69538C_.wvu.FilterData" localSheetId="0" hidden="1">'01.04.2023'!$A$3:$CA$9</definedName>
    <definedName name="Z_A0CB5671_798E_47D4_8F2F_926DE6C0913F_.wvu.FilterData" localSheetId="0" hidden="1">'01.04.2023'!$A$3:$CA$9</definedName>
    <definedName name="Z_CC3239AA_6ABC_4AD9_82FB_E11EF96A938B_.wvu.FilterData" localSheetId="0" hidden="1">'01.04.2023'!$A$3:$DC$10</definedName>
    <definedName name="Z_CCE22413_FD19_4F63_B002_75D8202D430D_.wvu.FilterData" localSheetId="0" hidden="1">'01.04.2023'!$A$3:$DC$10</definedName>
    <definedName name="Z_E3C09BFA_8B90_4516_B4A1_C40194786251_.wvu.FilterData" localSheetId="0" hidden="1">'01.04.2023'!$A$3:$DC$10</definedName>
    <definedName name="Z_E6E35B51_2B6C_4505_80DA_44E3E0129050_.wvu.FilterData" localSheetId="0" hidden="1">'01.04.2023'!$A$3:$DC$9</definedName>
    <definedName name="_xlnm.Print_Titles" localSheetId="0">'01.04.2023'!$A:$A</definedName>
  </definedNames>
  <calcPr fullCalcOnLoad="1" refMode="R1C1"/>
</workbook>
</file>

<file path=xl/sharedStrings.xml><?xml version="1.0" encoding="utf-8"?>
<sst xmlns="http://schemas.openxmlformats.org/spreadsheetml/2006/main" count="190" uniqueCount="112">
  <si>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</si>
  <si>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</si>
  <si>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</si>
  <si>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</si>
  <si>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</si>
  <si>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</si>
  <si>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</si>
  <si>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</si>
  <si>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</si>
  <si>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</si>
  <si>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</si>
  <si>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</si>
  <si>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Гi – фактический объем безвозмездных поступлений 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</si>
  <si>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</si>
  <si>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</si>
  <si>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</si>
  <si>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</si>
  <si>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</si>
  <si>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</si>
  <si>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</si>
  <si>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</si>
  <si>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</si>
  <si>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</si>
  <si>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</si>
  <si>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</si>
  <si>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</si>
  <si>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</si>
  <si>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</si>
  <si>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</si>
  <si>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Бальная оценка          (0;-1)</t>
  </si>
  <si>
    <t>Бальная оценка (0;1)</t>
  </si>
  <si>
    <t xml:space="preserve"> 2 Верховонданское</t>
  </si>
  <si>
    <t xml:space="preserve"> 3 Вонданское</t>
  </si>
  <si>
    <t xml:space="preserve"> 4 Кобрское</t>
  </si>
  <si>
    <t xml:space="preserve"> 5 Лузянское</t>
  </si>
  <si>
    <t xml:space="preserve"> 6 Пиксурское</t>
  </si>
  <si>
    <r>
      <t xml:space="preserve">Р3 Соблюдение установленных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</si>
  <si>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Р4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</si>
  <si>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Р7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</si>
  <si>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Р8 Динамика соотношения объема налоговых и неналоговых доходов бюджета поселения к объему дотации на выравнивание бюджетной обеспеченности   </t>
  </si>
  <si>
    <t>В1i – уточненный план по дотации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</si>
  <si>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</si>
  <si>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муниципальном образовании на конец отчетного периода</t>
  </si>
  <si>
    <t xml:space="preserve"> 1 Даровское городское </t>
  </si>
  <si>
    <t>итого кол-во баллов</t>
  </si>
  <si>
    <t>А4i  - исполнение по расходам i-го муниципального образования  в IV квартале текущего финансового года без учета расходов, произведенных за счет целевых средств, поступивших из районного бюджет</t>
  </si>
  <si>
    <t>А1i  - исполнение по расходам i-го муниципального образования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</si>
  <si>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муниципального образования во II квартале текущего финансового года без учета расходов, произведенных за счет целевых средств, поступивших из районного бюджета</t>
  </si>
  <si>
    <t>А3i  - исполнение по расходам i-го муниципального образования в III квартале текущего финансового года без учета расходов, произведенных за счет целевых средств, поступивших из районного бюджета</t>
  </si>
  <si>
    <t xml:space="preserve">Аi – исполнение бюджета в i-м муниципальном образовании за отчетный финансовый год по налоговым и неналоговым доходам </t>
  </si>
  <si>
    <t xml:space="preserve">Бi – первоначальный план в соответствии с решением о бюджете на отчетный финансовый год по налоговым и неналоговым доходам в i-м муниципальном образовании </t>
  </si>
  <si>
    <t>Р9 Наличие фактов нарушения организации бюджетного процесса, установленных в ходе контрольных мероприятий</t>
  </si>
  <si>
    <t>Аi – наличие фактов нарушения организации бюджетного процесса, установленных в ходе контрольных мероприятий</t>
  </si>
  <si>
    <t>Аi – сумма задолженности по налоговым платежам (без учета пеней и штрафных санкций) в бюджет муниципального образования на конец отчетного периода</t>
  </si>
  <si>
    <t>Bi – сумма задолженности по налоговым платежам (без учета пеней и штрафных санкций) в бюджет муниципального образования на начало отчетного периода</t>
  </si>
  <si>
    <t>Расчет целевого значения</t>
  </si>
  <si>
    <t>Бальная оценка            (0;  -1)</t>
  </si>
  <si>
    <t>Аi - фактический объем муниципального долга</t>
  </si>
  <si>
    <t xml:space="preserve">Бi – уточненный годовой план доходов бюджета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</si>
  <si>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</si>
  <si>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</si>
  <si>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Бюджетные кредиты, привлекаемые</t>
  </si>
  <si>
    <t>Бальная оценка                    (1или 0)</t>
  </si>
  <si>
    <t>≤0,5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</si>
  <si>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</si>
  <si>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</si>
  <si>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 на обслуживание муниципального долга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</si>
  <si>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</si>
  <si>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</si>
  <si>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</si>
  <si>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≤0,15</t>
  </si>
  <si>
    <t>Р5 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за отчетный год</t>
  </si>
  <si>
    <t>Bi – фактическая сумма, направляемая в отчетном году на погашение долговых обязательств</t>
  </si>
  <si>
    <t>Р18 Размещение в средствах массовой информации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</si>
  <si>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Р12 Динамика недоимки по налоговым платежам (без учета пеней и штрафных санкций) в бюджет муниципального образования</t>
  </si>
  <si>
    <t>Бальная оценка (0,1,-1,-2)</t>
  </si>
  <si>
    <t>Р 13 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муниципального образования</t>
  </si>
  <si>
    <t>Р 14 Динамика поступления налоговых доходов в бюджет муниципального образования</t>
  </si>
  <si>
    <t>Бальная оценка (0,-1)</t>
  </si>
  <si>
    <t>Р 15 Своевременность и полнота использования межбюджетных трансфертов, предоставляемых из районного бюджета бюджетам муниципальных образований в отчетном году</t>
  </si>
  <si>
    <t>Р 16 Своевременность возврата в районный бюджет остатков целевых средств, полученных и неиспользованных муниципальным образованием  в отчетном году</t>
  </si>
  <si>
    <t>Аi –  исполнение бюджета  в рамках муниципальных программ на конец отчетного периода</t>
  </si>
  <si>
    <t>Бальная оценка                   (1;0)</t>
  </si>
  <si>
    <t>Р 17 Исполнение бюджета в рамках муниципальных программ за отчетный период</t>
  </si>
  <si>
    <t>Аi – размещение информации  о выполнении целевых показателей эффективности реализации муниципальных программ за отчетный год</t>
  </si>
  <si>
    <t>Бальная оценка (0;0,5)</t>
  </si>
  <si>
    <t>Р19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целевых показателей эффективности реализации муниципальных программ</t>
  </si>
  <si>
    <t>Р2 Соблюдение требований статьи 107 Бюджетного кодекса Российской Федерации по предельному объему муниципального долга  за отчетный период</t>
  </si>
  <si>
    <t>Р3 Соблюдение верхнего предела муниципального долга, установленного решением о бюджете на соответствующий финансовый год                                 за отчетный год</t>
  </si>
  <si>
    <t>Аi- фактический объем заимствований i-го муниципального образования в отчетном году</t>
  </si>
  <si>
    <t>Бi – фактический размер дефицита местного бюджета на конец отчетного года i-го муниципального образования</t>
  </si>
  <si>
    <t>Аi – наличие фактов использования средств не по целевому назначению (количество)</t>
  </si>
  <si>
    <t>Вi– сумма задолженности  i-го муниципального образования на начало отчетного периода;</t>
  </si>
  <si>
    <t>Аi – сумма  поступления налоговых доходов в бюджет i-го муниципального образования на конец отчетного периода текущего финан-сового года;</t>
  </si>
  <si>
    <t>Среднерайонный уровень</t>
  </si>
  <si>
    <t>Аi – своевременное и полное использование межбюджетных трансфертов, предоставляемых из районного бюджета бюджетам муниципальных образований в отчетном году (сумма остатка)</t>
  </si>
  <si>
    <t>Бальная оценка         (0;-1)</t>
  </si>
  <si>
    <t xml:space="preserve"> Бi – исполнение бюджета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</si>
  <si>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t xml:space="preserve"> </t>
  </si>
  <si>
    <r>
      <t xml:space="preserve">Р 1 "Соблюдение требований статьи 92.1 Бюджетного кодекса Российской Федерации по предельному объему дефицита местного бюджета "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</si>
  <si>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9"/>
        <color indexed="10"/>
        <rFont val="Times New Roman"/>
        <family val="1"/>
      </rPr>
      <t xml:space="preserve">  за отчетный период</t>
    </r>
  </si>
  <si>
    <r>
      <t xml:space="preserve">Р4 Исполнение бюджета поселения по налоговым и неналоговым доходам    к  первоначально утвержденному объему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</si>
  <si>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Р7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9"/>
        <color indexed="10"/>
        <rFont val="Times New Roman"/>
        <family val="1"/>
      </rPr>
      <t>з</t>
    </r>
    <r>
      <rPr>
        <b/>
        <sz val="9"/>
        <color indexed="10"/>
        <rFont val="Times New Roman"/>
        <family val="1"/>
      </rPr>
      <t>а отчетный год</t>
    </r>
    <r>
      <rPr>
        <sz val="9"/>
        <rFont val="Times New Roman"/>
        <family val="1"/>
      </rPr>
      <t xml:space="preserve">
</t>
    </r>
  </si>
  <si>
    <r>
      <t xml:space="preserve">Р8 Наличие просроченной кредиторской задолженности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</si>
  <si>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Р10 Наличие фактов использования средств не по целевому назначению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</si>
  <si>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задолженности   i-го муниципального образования на конец отчетного периода;</t>
    </r>
  </si>
  <si>
    <r>
      <t>Б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поступления налоговых доходов бюджет i-го муниципального образования на конец соответствующего отчетного периода предыдущего финансового года в сопоставимых условиях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</si>
  <si>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возврат в установленный срок в районный бюджет остатков целевых средств, полученных и неиспользованных i-м муниципальным образованием в отчетном году</t>
    </r>
  </si>
  <si>
    <t>Аi- фактический размер  дефицита бюджета</t>
  </si>
  <si>
    <t>Дi– фактический объем доходов бюджета</t>
  </si>
  <si>
    <t>Нi - фактическое поступление налоговых доходов по дополнительным нормативам отчислений</t>
  </si>
  <si>
    <t>Мониторинг оценки  качества организации и осуществления бюджетного процесса по итогам исполнения местных бюджетов за  1 квартал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</si>
</sst>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bscript"/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1" fillId="32" borderId="13" xfId="0" applyNumberFormat="1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79" fontId="0" fillId="32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9" fontId="1" fillId="32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0" fontId="8" fillId="32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78" fontId="1" fillId="32" borderId="10" xfId="0" applyNumberFormat="1" applyFont="1" applyFill="1" applyBorder="1" applyAlignment="1">
      <alignment horizontal="center"/>
    </xf>
    <xf numFmtId="178" fontId="0" fillId="32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17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justify" vertical="top"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1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B4" sqref="DB4"/>
    </sheetView>
  </sheetViews>
  <sheetFormatPr defaultColWidth="9.125" defaultRowHeight="12.75"/>
  <cols>
    <col min="1" max="1" width="22.125" style="6" customWidth="1"/>
    <col min="2" max="2" width="11.125" style="4" customWidth="1"/>
    <col min="3" max="3" width="13.125" style="4" customWidth="1"/>
    <col min="4" max="4" width="11.625" style="4" customWidth="1"/>
    <col min="5" max="5" width="10.875" style="10" customWidth="1"/>
    <col min="6" max="6" width="11.50390625" style="10" customWidth="1"/>
    <col min="7" max="7" width="11.375" style="22" customWidth="1"/>
    <col min="8" max="8" width="10.50390625" style="10" customWidth="1"/>
    <col min="9" max="34" width="11.00390625" style="20" customWidth="1"/>
    <col min="35" max="35" width="12.00390625" style="4" customWidth="1"/>
    <col min="36" max="36" width="12.50390625" style="4" customWidth="1"/>
    <col min="37" max="37" width="10.375" style="22" customWidth="1"/>
    <col min="38" max="38" width="10.625" style="4" customWidth="1"/>
    <col min="39" max="39" width="9.125" style="4" customWidth="1"/>
    <col min="40" max="40" width="0.12890625" style="4" hidden="1" customWidth="1"/>
    <col min="41" max="41" width="14.625" style="4" hidden="1" customWidth="1"/>
    <col min="42" max="42" width="9.375" style="8" hidden="1" customWidth="1"/>
    <col min="43" max="44" width="10.875" style="20" hidden="1" customWidth="1"/>
    <col min="45" max="45" width="14.50390625" style="29" hidden="1" customWidth="1"/>
    <col min="46" max="46" width="10.50390625" style="4" hidden="1" customWidth="1"/>
    <col min="47" max="47" width="9.625" style="4" hidden="1" customWidth="1"/>
    <col min="48" max="48" width="0.12890625" style="4" customWidth="1"/>
    <col min="49" max="49" width="13.875" style="4" hidden="1" customWidth="1"/>
    <col min="50" max="50" width="12.625" style="22" hidden="1" customWidth="1"/>
    <col min="51" max="51" width="12.875" style="20" hidden="1" customWidth="1"/>
    <col min="52" max="52" width="17.625" style="4" hidden="1" customWidth="1"/>
    <col min="53" max="53" width="14.875" style="20" hidden="1" customWidth="1"/>
    <col min="54" max="54" width="14.375" style="22" hidden="1" customWidth="1"/>
    <col min="55" max="55" width="9.00390625" style="4" hidden="1" customWidth="1"/>
    <col min="56" max="56" width="0.12890625" style="4" hidden="1" customWidth="1"/>
    <col min="57" max="57" width="13.125" style="20" hidden="1" customWidth="1"/>
    <col min="58" max="58" width="4.00390625" style="4" hidden="1" customWidth="1"/>
    <col min="59" max="59" width="4.50390625" style="4" hidden="1" customWidth="1"/>
    <col min="60" max="60" width="5.875" style="22" hidden="1" customWidth="1"/>
    <col min="61" max="61" width="7.125" style="5" hidden="1" customWidth="1"/>
    <col min="62" max="62" width="13.375" style="4" customWidth="1"/>
    <col min="63" max="63" width="13.50390625" style="4" customWidth="1"/>
    <col min="64" max="64" width="13.00390625" style="22" customWidth="1"/>
    <col min="65" max="65" width="13.50390625" style="20" customWidth="1"/>
    <col min="66" max="66" width="12.50390625" style="20" customWidth="1"/>
    <col min="67" max="67" width="12.375" style="20" customWidth="1"/>
    <col min="68" max="68" width="14.00390625" style="4" customWidth="1"/>
    <col min="69" max="69" width="12.625" style="4" customWidth="1"/>
    <col min="70" max="70" width="12.00390625" style="4" hidden="1" customWidth="1"/>
    <col min="71" max="71" width="11.875" style="4" hidden="1" customWidth="1"/>
    <col min="72" max="72" width="11.125" style="4" hidden="1" customWidth="1"/>
    <col min="73" max="74" width="14.375" style="20" hidden="1" customWidth="1"/>
    <col min="75" max="75" width="29.00390625" style="20" hidden="1" customWidth="1"/>
    <col min="76" max="76" width="13.375" style="29" customWidth="1"/>
    <col min="77" max="77" width="12.625" style="4" customWidth="1"/>
    <col min="78" max="78" width="11.625" style="4" customWidth="1"/>
    <col min="79" max="81" width="9.125" style="4" customWidth="1"/>
    <col min="82" max="82" width="13.00390625" style="4" customWidth="1"/>
    <col min="83" max="83" width="10.375" style="4" customWidth="1"/>
    <col min="84" max="84" width="11.625" style="4" customWidth="1"/>
    <col min="85" max="85" width="19.125" style="4" customWidth="1"/>
    <col min="86" max="86" width="14.50390625" style="4" customWidth="1"/>
    <col min="87" max="88" width="18.50390625" style="4" customWidth="1"/>
    <col min="89" max="89" width="14.625" style="4" customWidth="1"/>
    <col min="90" max="97" width="10.375" style="4" customWidth="1"/>
    <col min="98" max="98" width="10.875" style="4" customWidth="1"/>
    <col min="99" max="99" width="10.375" style="4" customWidth="1"/>
    <col min="100" max="100" width="12.375" style="4" customWidth="1"/>
    <col min="101" max="103" width="11.50390625" style="4" customWidth="1"/>
    <col min="104" max="106" width="17.875" style="4" customWidth="1"/>
    <col min="107" max="107" width="9.875" style="4" customWidth="1"/>
    <col min="108" max="108" width="15.50390625" style="4" customWidth="1"/>
    <col min="109" max="109" width="14.50390625" style="4" customWidth="1"/>
    <col min="110" max="110" width="9.00390625" style="4" customWidth="1"/>
    <col min="111" max="16384" width="9.125" style="4" customWidth="1"/>
  </cols>
  <sheetData>
    <row r="1" spans="1:76" s="5" customFormat="1" ht="26.25" customHeight="1">
      <c r="A1" s="80" t="s">
        <v>111</v>
      </c>
      <c r="E1" s="9"/>
      <c r="F1" s="9"/>
      <c r="G1" s="14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K1" s="14"/>
      <c r="AP1" s="7"/>
      <c r="AQ1" s="13"/>
      <c r="AR1" s="13"/>
      <c r="AS1" s="26"/>
      <c r="AX1" s="14"/>
      <c r="AY1" s="13"/>
      <c r="BA1" s="13"/>
      <c r="BB1" s="14"/>
      <c r="BE1" s="13"/>
      <c r="BH1" s="14"/>
      <c r="BL1" s="14"/>
      <c r="BM1" s="13"/>
      <c r="BN1" s="13"/>
      <c r="BO1" s="13"/>
      <c r="BU1" s="13"/>
      <c r="BV1" s="13"/>
      <c r="BW1" s="13"/>
      <c r="BX1" s="26"/>
    </row>
    <row r="2" spans="1:111" s="16" customFormat="1" ht="84" customHeight="1">
      <c r="A2" s="97" t="s">
        <v>98</v>
      </c>
      <c r="B2" s="95" t="s">
        <v>99</v>
      </c>
      <c r="C2" s="95"/>
      <c r="D2" s="95"/>
      <c r="E2" s="95"/>
      <c r="F2" s="95"/>
      <c r="G2" s="95"/>
      <c r="H2" s="95"/>
      <c r="I2" s="95"/>
      <c r="J2" s="89" t="s">
        <v>87</v>
      </c>
      <c r="K2" s="90"/>
      <c r="L2" s="90"/>
      <c r="M2" s="90"/>
      <c r="N2" s="90"/>
      <c r="O2" s="90"/>
      <c r="P2" s="90"/>
      <c r="Q2" s="91"/>
      <c r="R2" s="89" t="s">
        <v>88</v>
      </c>
      <c r="S2" s="90"/>
      <c r="T2" s="90"/>
      <c r="U2" s="90"/>
      <c r="V2" s="91"/>
      <c r="W2" s="89" t="s">
        <v>66</v>
      </c>
      <c r="X2" s="90"/>
      <c r="Y2" s="90"/>
      <c r="Z2" s="90"/>
      <c r="AA2" s="90"/>
      <c r="AB2" s="91"/>
      <c r="AC2" s="89" t="s">
        <v>71</v>
      </c>
      <c r="AD2" s="90"/>
      <c r="AE2" s="90"/>
      <c r="AF2" s="90"/>
      <c r="AG2" s="90"/>
      <c r="AH2" s="91"/>
      <c r="AI2" s="89" t="s">
        <v>100</v>
      </c>
      <c r="AJ2" s="90"/>
      <c r="AK2" s="90"/>
      <c r="AL2" s="90"/>
      <c r="AM2" s="91"/>
      <c r="AN2" s="92" t="s">
        <v>36</v>
      </c>
      <c r="AO2" s="93"/>
      <c r="AP2" s="93"/>
      <c r="AQ2" s="93"/>
      <c r="AR2" s="94"/>
      <c r="AS2" s="96" t="s">
        <v>37</v>
      </c>
      <c r="AT2" s="96"/>
      <c r="AU2" s="96"/>
      <c r="AV2" s="95" t="s">
        <v>101</v>
      </c>
      <c r="AW2" s="96"/>
      <c r="AX2" s="96"/>
      <c r="AY2" s="96"/>
      <c r="AZ2" s="96" t="s">
        <v>38</v>
      </c>
      <c r="BA2" s="96"/>
      <c r="BB2" s="96"/>
      <c r="BC2" s="96"/>
      <c r="BD2" s="96" t="s">
        <v>39</v>
      </c>
      <c r="BE2" s="96"/>
      <c r="BF2" s="96"/>
      <c r="BG2" s="96"/>
      <c r="BH2" s="96"/>
      <c r="BI2" s="96"/>
      <c r="BJ2" s="95" t="s">
        <v>102</v>
      </c>
      <c r="BK2" s="95"/>
      <c r="BL2" s="95"/>
      <c r="BM2" s="95"/>
      <c r="BN2" s="95"/>
      <c r="BO2" s="95"/>
      <c r="BP2" s="95" t="s">
        <v>103</v>
      </c>
      <c r="BQ2" s="95"/>
      <c r="BR2" s="92" t="s">
        <v>26</v>
      </c>
      <c r="BS2" s="93"/>
      <c r="BT2" s="93"/>
      <c r="BU2" s="93"/>
      <c r="BV2" s="93"/>
      <c r="BW2" s="94"/>
      <c r="BX2" s="89" t="s">
        <v>104</v>
      </c>
      <c r="BY2" s="91"/>
      <c r="BZ2" s="89" t="s">
        <v>73</v>
      </c>
      <c r="CA2" s="90"/>
      <c r="CB2" s="90"/>
      <c r="CC2" s="90"/>
      <c r="CD2" s="90"/>
      <c r="CE2" s="90"/>
      <c r="CF2" s="91"/>
      <c r="CG2" s="89" t="s">
        <v>51</v>
      </c>
      <c r="CH2" s="91"/>
      <c r="CI2" s="89" t="s">
        <v>74</v>
      </c>
      <c r="CJ2" s="90"/>
      <c r="CK2" s="90"/>
      <c r="CL2" s="91"/>
      <c r="CM2" s="89" t="s">
        <v>76</v>
      </c>
      <c r="CN2" s="90"/>
      <c r="CO2" s="90"/>
      <c r="CP2" s="91"/>
      <c r="CQ2" s="89" t="s">
        <v>77</v>
      </c>
      <c r="CR2" s="90"/>
      <c r="CS2" s="90"/>
      <c r="CT2" s="90"/>
      <c r="CU2" s="91"/>
      <c r="CV2" s="89" t="s">
        <v>79</v>
      </c>
      <c r="CW2" s="91"/>
      <c r="CX2" s="89" t="s">
        <v>80</v>
      </c>
      <c r="CY2" s="91"/>
      <c r="CZ2" s="89" t="s">
        <v>83</v>
      </c>
      <c r="DA2" s="90"/>
      <c r="DB2" s="90"/>
      <c r="DC2" s="91"/>
      <c r="DD2" s="89" t="s">
        <v>86</v>
      </c>
      <c r="DE2" s="91"/>
      <c r="DF2" s="45"/>
      <c r="DG2" s="46"/>
    </row>
    <row r="3" spans="1:111" s="16" customFormat="1" ht="282.75" customHeight="1">
      <c r="A3" s="98"/>
      <c r="B3" s="66" t="s">
        <v>108</v>
      </c>
      <c r="C3" s="66" t="s">
        <v>109</v>
      </c>
      <c r="D3" s="66" t="s">
        <v>12</v>
      </c>
      <c r="E3" s="67" t="s">
        <v>110</v>
      </c>
      <c r="F3" s="67" t="s">
        <v>27</v>
      </c>
      <c r="G3" s="68" t="s">
        <v>0</v>
      </c>
      <c r="H3" s="67" t="s">
        <v>14</v>
      </c>
      <c r="I3" s="66" t="s">
        <v>13</v>
      </c>
      <c r="J3" s="69" t="s">
        <v>57</v>
      </c>
      <c r="K3" s="69" t="s">
        <v>58</v>
      </c>
      <c r="L3" s="69" t="s">
        <v>59</v>
      </c>
      <c r="M3" s="69" t="s">
        <v>60</v>
      </c>
      <c r="N3" s="69" t="s">
        <v>61</v>
      </c>
      <c r="O3" s="69" t="s">
        <v>0</v>
      </c>
      <c r="P3" s="69" t="s">
        <v>14</v>
      </c>
      <c r="Q3" s="69" t="s">
        <v>62</v>
      </c>
      <c r="R3" s="70" t="s">
        <v>64</v>
      </c>
      <c r="S3" s="70" t="s">
        <v>65</v>
      </c>
      <c r="T3" s="71" t="s">
        <v>0</v>
      </c>
      <c r="U3" s="72" t="s">
        <v>14</v>
      </c>
      <c r="V3" s="70" t="s">
        <v>17</v>
      </c>
      <c r="W3" s="70" t="s">
        <v>67</v>
      </c>
      <c r="X3" s="70" t="s">
        <v>68</v>
      </c>
      <c r="Y3" s="70" t="s">
        <v>69</v>
      </c>
      <c r="Z3" s="71" t="s">
        <v>0</v>
      </c>
      <c r="AA3" s="70" t="s">
        <v>14</v>
      </c>
      <c r="AB3" s="71" t="s">
        <v>17</v>
      </c>
      <c r="AC3" s="70" t="s">
        <v>89</v>
      </c>
      <c r="AD3" s="73" t="s">
        <v>90</v>
      </c>
      <c r="AE3" s="70" t="s">
        <v>72</v>
      </c>
      <c r="AF3" s="71" t="s">
        <v>0</v>
      </c>
      <c r="AG3" s="70" t="s">
        <v>14</v>
      </c>
      <c r="AH3" s="71" t="s">
        <v>17</v>
      </c>
      <c r="AI3" s="69" t="s">
        <v>18</v>
      </c>
      <c r="AJ3" s="69" t="s">
        <v>19</v>
      </c>
      <c r="AK3" s="68" t="s">
        <v>0</v>
      </c>
      <c r="AL3" s="66" t="s">
        <v>14</v>
      </c>
      <c r="AM3" s="74" t="s">
        <v>17</v>
      </c>
      <c r="AN3" s="3" t="s">
        <v>20</v>
      </c>
      <c r="AO3" s="3" t="s">
        <v>2</v>
      </c>
      <c r="AP3" s="3" t="s">
        <v>0</v>
      </c>
      <c r="AQ3" s="2" t="s">
        <v>14</v>
      </c>
      <c r="AR3" s="15" t="s">
        <v>17</v>
      </c>
      <c r="AS3" s="27" t="s">
        <v>22</v>
      </c>
      <c r="AT3" s="2" t="s">
        <v>14</v>
      </c>
      <c r="AU3" s="15" t="s">
        <v>17</v>
      </c>
      <c r="AV3" s="69" t="s">
        <v>49</v>
      </c>
      <c r="AW3" s="3" t="s">
        <v>50</v>
      </c>
      <c r="AX3" s="15" t="s">
        <v>0</v>
      </c>
      <c r="AY3" s="3" t="s">
        <v>56</v>
      </c>
      <c r="AZ3" s="2" t="s">
        <v>24</v>
      </c>
      <c r="BA3" s="2" t="s">
        <v>23</v>
      </c>
      <c r="BB3" s="15" t="s">
        <v>0</v>
      </c>
      <c r="BC3" s="3" t="s">
        <v>1</v>
      </c>
      <c r="BD3" s="3" t="s">
        <v>28</v>
      </c>
      <c r="BE3" s="3" t="s">
        <v>40</v>
      </c>
      <c r="BF3" s="3" t="s">
        <v>25</v>
      </c>
      <c r="BG3" s="3" t="s">
        <v>41</v>
      </c>
      <c r="BH3" s="15" t="s">
        <v>0</v>
      </c>
      <c r="BI3" s="3" t="s">
        <v>1</v>
      </c>
      <c r="BJ3" s="69" t="s">
        <v>45</v>
      </c>
      <c r="BK3" s="69" t="s">
        <v>46</v>
      </c>
      <c r="BL3" s="74" t="s">
        <v>47</v>
      </c>
      <c r="BM3" s="69" t="s">
        <v>48</v>
      </c>
      <c r="BN3" s="69" t="s">
        <v>0</v>
      </c>
      <c r="BO3" s="69" t="s">
        <v>1</v>
      </c>
      <c r="BP3" s="69" t="s">
        <v>42</v>
      </c>
      <c r="BQ3" s="69" t="s">
        <v>1</v>
      </c>
      <c r="BR3" s="3" t="s">
        <v>3</v>
      </c>
      <c r="BS3" s="3" t="s">
        <v>4</v>
      </c>
      <c r="BT3" s="3" t="s">
        <v>5</v>
      </c>
      <c r="BU3" s="3" t="s">
        <v>6</v>
      </c>
      <c r="BV3" s="3" t="s">
        <v>0</v>
      </c>
      <c r="BW3" s="3" t="s">
        <v>1</v>
      </c>
      <c r="BX3" s="75" t="s">
        <v>91</v>
      </c>
      <c r="BY3" s="69" t="s">
        <v>29</v>
      </c>
      <c r="BZ3" s="76" t="s">
        <v>7</v>
      </c>
      <c r="CA3" s="76" t="s">
        <v>8</v>
      </c>
      <c r="CB3" s="76" t="s">
        <v>9</v>
      </c>
      <c r="CC3" s="76" t="s">
        <v>10</v>
      </c>
      <c r="CD3" s="76" t="s">
        <v>11</v>
      </c>
      <c r="CE3" s="69" t="s">
        <v>0</v>
      </c>
      <c r="CF3" s="69" t="s">
        <v>30</v>
      </c>
      <c r="CG3" s="76" t="s">
        <v>52</v>
      </c>
      <c r="CH3" s="69" t="s">
        <v>1</v>
      </c>
      <c r="CI3" s="76" t="s">
        <v>53</v>
      </c>
      <c r="CJ3" s="76" t="s">
        <v>54</v>
      </c>
      <c r="CK3" s="69" t="s">
        <v>55</v>
      </c>
      <c r="CL3" s="69" t="s">
        <v>1</v>
      </c>
      <c r="CM3" s="77" t="s">
        <v>105</v>
      </c>
      <c r="CN3" s="78" t="s">
        <v>92</v>
      </c>
      <c r="CO3" s="70" t="s">
        <v>0</v>
      </c>
      <c r="CP3" s="70" t="s">
        <v>75</v>
      </c>
      <c r="CQ3" s="70" t="s">
        <v>93</v>
      </c>
      <c r="CR3" s="87" t="s">
        <v>106</v>
      </c>
      <c r="CS3" s="70" t="s">
        <v>0</v>
      </c>
      <c r="CT3" s="70" t="s">
        <v>94</v>
      </c>
      <c r="CU3" s="70" t="s">
        <v>78</v>
      </c>
      <c r="CV3" s="70" t="s">
        <v>95</v>
      </c>
      <c r="CW3" s="70" t="s">
        <v>1</v>
      </c>
      <c r="CX3" s="87" t="s">
        <v>107</v>
      </c>
      <c r="CY3" s="70" t="s">
        <v>96</v>
      </c>
      <c r="CZ3" s="70" t="s">
        <v>81</v>
      </c>
      <c r="DA3" s="70" t="s">
        <v>97</v>
      </c>
      <c r="DB3" s="71" t="s">
        <v>0</v>
      </c>
      <c r="DC3" s="71" t="s">
        <v>82</v>
      </c>
      <c r="DD3" s="79" t="s">
        <v>84</v>
      </c>
      <c r="DE3" s="70" t="s">
        <v>85</v>
      </c>
      <c r="DF3" s="88" t="s">
        <v>44</v>
      </c>
      <c r="DG3" s="44"/>
    </row>
    <row r="4" spans="1:111" ht="14.25">
      <c r="A4" s="1" t="s">
        <v>43</v>
      </c>
      <c r="B4" s="19">
        <v>1340.1</v>
      </c>
      <c r="C4" s="49">
        <v>4723</v>
      </c>
      <c r="D4" s="19">
        <v>861.6</v>
      </c>
      <c r="E4" s="17">
        <v>0</v>
      </c>
      <c r="F4" s="64">
        <v>2145.1</v>
      </c>
      <c r="G4" s="33">
        <f aca="true" t="shared" si="0" ref="G4:G9">(B4-F4)/(C4-D4-E4)</f>
        <v>-0.20847361060755165</v>
      </c>
      <c r="H4" s="25" t="s">
        <v>15</v>
      </c>
      <c r="I4" s="41">
        <f>IF(G4&lt;=0.05,1,0)</f>
        <v>1</v>
      </c>
      <c r="J4" s="55"/>
      <c r="K4" s="55">
        <v>40786.2</v>
      </c>
      <c r="L4" s="55">
        <v>25187.6</v>
      </c>
      <c r="M4" s="55"/>
      <c r="N4" s="55"/>
      <c r="O4" s="33">
        <f aca="true" t="shared" si="1" ref="O4:O9">(J4-N4)/(K4-L4-M4)</f>
        <v>0</v>
      </c>
      <c r="P4" s="56" t="s">
        <v>16</v>
      </c>
      <c r="Q4" s="41">
        <f aca="true" t="shared" si="2" ref="Q4:Q9">IF(O4&lt;=1,1,0)</f>
        <v>1</v>
      </c>
      <c r="R4" s="55"/>
      <c r="S4" s="55">
        <v>1E-06</v>
      </c>
      <c r="T4" s="56">
        <f aca="true" t="shared" si="3" ref="T4:T9">R4/S4</f>
        <v>0</v>
      </c>
      <c r="U4" s="57" t="s">
        <v>16</v>
      </c>
      <c r="V4" s="41">
        <f aca="true" t="shared" si="4" ref="V4:V9">IF(T4&lt;=1,1,0)</f>
        <v>1</v>
      </c>
      <c r="W4" s="55"/>
      <c r="X4" s="55">
        <v>4723</v>
      </c>
      <c r="Y4" s="55">
        <v>61.5</v>
      </c>
      <c r="Z4" s="33">
        <f aca="true" t="shared" si="5" ref="Z4:Z9">W4/(X4-Y4)</f>
        <v>0</v>
      </c>
      <c r="AA4" s="57" t="s">
        <v>70</v>
      </c>
      <c r="AB4" s="41">
        <f aca="true" t="shared" si="6" ref="AB4:AB9">IF(Z4&lt;=0.15,1,0)</f>
        <v>1</v>
      </c>
      <c r="AC4" s="55"/>
      <c r="AD4" s="55">
        <v>1340.1</v>
      </c>
      <c r="AE4" s="55"/>
      <c r="AF4" s="33">
        <f aca="true" t="shared" si="7" ref="AF4:AF9">AC4/(AD4+AE4)</f>
        <v>0</v>
      </c>
      <c r="AG4" s="57" t="s">
        <v>16</v>
      </c>
      <c r="AH4" s="41">
        <f aca="true" t="shared" si="8" ref="AH4:AH9">IF(AF4&lt;=1,1,0)</f>
        <v>1</v>
      </c>
      <c r="AI4" s="11">
        <v>5318</v>
      </c>
      <c r="AJ4" s="11">
        <v>6073</v>
      </c>
      <c r="AK4" s="34">
        <f aca="true" t="shared" si="9" ref="AK4:AK9">AI4/AJ4</f>
        <v>0.8756792359624568</v>
      </c>
      <c r="AL4" s="25" t="s">
        <v>16</v>
      </c>
      <c r="AM4" s="30">
        <f aca="true" t="shared" si="10" ref="AM4:AM9">IF(AK4&lt;=1,1,0)</f>
        <v>1</v>
      </c>
      <c r="AN4" s="19">
        <v>794.6</v>
      </c>
      <c r="AO4" s="19">
        <v>1599.7</v>
      </c>
      <c r="AP4" s="38">
        <f aca="true" t="shared" si="11" ref="AP4:AP9">AN4/AO4</f>
        <v>0.49671813465024695</v>
      </c>
      <c r="AQ4" s="25" t="s">
        <v>16</v>
      </c>
      <c r="AR4" s="30">
        <f aca="true" t="shared" si="12" ref="AR4:AR9">IF(AP4&lt;=1,1,0)</f>
        <v>1</v>
      </c>
      <c r="AS4" s="28">
        <v>3</v>
      </c>
      <c r="AT4" s="25" t="s">
        <v>21</v>
      </c>
      <c r="AU4" s="30">
        <f aca="true" t="shared" si="13" ref="AU4:AU9">IF(AS4&lt;=5,1,0)</f>
        <v>1</v>
      </c>
      <c r="AV4" s="11"/>
      <c r="AW4" s="11"/>
      <c r="AX4" s="34" t="e">
        <f aca="true" t="shared" si="14" ref="AX4:AX9">AV4/AW4</f>
        <v>#DIV/0!</v>
      </c>
      <c r="AY4" s="30" t="e">
        <f aca="true" t="shared" si="15" ref="AY4:AY9">IF(AND(AX4&gt;=0.95,AX4&lt;=1.05),1,IF(OR(AND(AX4&gt;=0.85,AX4&lt;0.95),AND(AX4&gt;1.05,AX4&lt;=1.15)),0.5,0))</f>
        <v>#DIV/0!</v>
      </c>
      <c r="AZ4" s="19">
        <v>3697</v>
      </c>
      <c r="BA4" s="12">
        <v>3675.5</v>
      </c>
      <c r="BB4" s="34">
        <f aca="true" t="shared" si="16" ref="BB4:BB9">AZ4/BA4</f>
        <v>1.0058495442796898</v>
      </c>
      <c r="BC4" s="30">
        <f aca="true" t="shared" si="17" ref="BC4:BC9">IF(AND(BB4&gt;=0.98,BB4&lt;=1.02),1,0)</f>
        <v>1</v>
      </c>
      <c r="BD4" s="11">
        <v>7538.3</v>
      </c>
      <c r="BE4" s="12">
        <v>2109.6</v>
      </c>
      <c r="BF4" s="11">
        <v>7570.1</v>
      </c>
      <c r="BG4" s="11"/>
      <c r="BH4" s="34"/>
      <c r="BI4" s="30">
        <v>1</v>
      </c>
      <c r="BJ4" s="11"/>
      <c r="BK4" s="11">
        <v>4661.5</v>
      </c>
      <c r="BL4" s="49"/>
      <c r="BM4" s="11"/>
      <c r="BN4" s="43">
        <f aca="true" t="shared" si="18" ref="BN4:BN9">BJ4/(1.1*(BK4+BL4+BM4)/3)</f>
        <v>0</v>
      </c>
      <c r="BO4" s="82">
        <f aca="true" t="shared" si="19" ref="BO4:BO9">IF(AND(BN4&gt;=0.7,BN4&lt;=1.3),1,IF(OR(AND(BN4&gt;=0.5,BN4&lt;0.7),AND(BN4&gt;1.3,BN4&lt;=1.5)),0.5,0))</f>
        <v>0</v>
      </c>
      <c r="BP4" s="11">
        <v>0</v>
      </c>
      <c r="BQ4" s="30">
        <f aca="true" t="shared" si="20" ref="BQ4:BQ9">IF(BP4&gt;0,-1,0)</f>
        <v>0</v>
      </c>
      <c r="BR4" s="11"/>
      <c r="BS4" s="11"/>
      <c r="BT4" s="11"/>
      <c r="BU4" s="18"/>
      <c r="BV4" s="18" t="e">
        <f aca="true" t="shared" si="21" ref="BV4:BV9">(BR4/BS4)/(BT4/BU4)</f>
        <v>#DIV/0!</v>
      </c>
      <c r="BW4" s="18" t="e">
        <f aca="true" t="shared" si="22" ref="BW4:BW9">IF(BV4&lt;=1,1,0)</f>
        <v>#DIV/0!</v>
      </c>
      <c r="BX4" s="28"/>
      <c r="BY4" s="30">
        <f aca="true" t="shared" si="23" ref="BY4:BY9">IF(ISBLANK(BX4),0,-1)</f>
        <v>0</v>
      </c>
      <c r="BZ4" s="11">
        <v>1</v>
      </c>
      <c r="CA4" s="11">
        <v>1</v>
      </c>
      <c r="CB4" s="11"/>
      <c r="CC4" s="11"/>
      <c r="CD4" s="11">
        <v>1</v>
      </c>
      <c r="CE4" s="25">
        <f aca="true" t="shared" si="24" ref="CE4:CE9">BZ4+CA4+CB4+CC4+CD4</f>
        <v>3</v>
      </c>
      <c r="CF4" s="30">
        <f aca="true" t="shared" si="25" ref="CF4:CF9">IF(CE4&gt;=5,1,0)</f>
        <v>0</v>
      </c>
      <c r="CG4" s="11"/>
      <c r="CH4" s="30">
        <f aca="true" t="shared" si="26" ref="CH4:CH9">IF(ISBLANK(CG4),0,-1)</f>
        <v>0</v>
      </c>
      <c r="CI4" s="83">
        <v>933.5</v>
      </c>
      <c r="CJ4" s="83">
        <v>712.8</v>
      </c>
      <c r="CK4" s="53">
        <f aca="true" t="shared" si="27" ref="CK4:CK9">CI4/CJ4</f>
        <v>1.3096240179573513</v>
      </c>
      <c r="CL4" s="30">
        <f aca="true" t="shared" si="28" ref="CL4:CL9">IF(CK4&lt;1,1,(IF(CK4=1,0,(IF(CK4&gt;1.5,-2,-1)))))</f>
        <v>-1</v>
      </c>
      <c r="CM4" s="86">
        <v>234.6</v>
      </c>
      <c r="CN4" s="18">
        <v>254</v>
      </c>
      <c r="CO4" s="43">
        <f>CM4/CN4</f>
        <v>0.9236220472440945</v>
      </c>
      <c r="CP4" s="30">
        <f aca="true" t="shared" si="29" ref="CP4:CP9">IF(CO4&lt;1,1,(IF(CO4=1,0,(IF(CO4&lt;=1.5,-1,-2)))))</f>
        <v>1</v>
      </c>
      <c r="CQ4" s="86">
        <v>2101.6</v>
      </c>
      <c r="CR4" s="18">
        <v>2252.5</v>
      </c>
      <c r="CS4" s="60">
        <f aca="true" t="shared" si="30" ref="CS4:CS9">CQ4/CR4</f>
        <v>0.933007769145394</v>
      </c>
      <c r="CT4" s="25">
        <v>1.0213</v>
      </c>
      <c r="CU4" s="58">
        <f aca="true" t="shared" si="31" ref="CU4:CU9">IF(CS4&lt;CT4,-1,IF(CS4&gt;=CT4,0))</f>
        <v>-1</v>
      </c>
      <c r="CV4" s="59"/>
      <c r="CW4" s="58">
        <f aca="true" t="shared" si="32" ref="CW4:CW9">IF(ISBLANK(CV4),0,-1)</f>
        <v>0</v>
      </c>
      <c r="CX4" s="59"/>
      <c r="CY4" s="58">
        <f aca="true" t="shared" si="33" ref="CY4:CY9">IF(ISBLANK(CX4),0,-1)</f>
        <v>0</v>
      </c>
      <c r="CZ4" s="11">
        <v>4718.8</v>
      </c>
      <c r="DA4" s="11">
        <v>4718.8</v>
      </c>
      <c r="DB4" s="34">
        <f aca="true" t="shared" si="34" ref="DB4:DB9">CZ4/DA4</f>
        <v>1</v>
      </c>
      <c r="DC4" s="62">
        <f aca="true" t="shared" si="35" ref="DC4:DC9">IF(DB4=1,1,)</f>
        <v>1</v>
      </c>
      <c r="DD4" s="65"/>
      <c r="DE4" s="58">
        <f aca="true" t="shared" si="36" ref="DE4:DE9">IF(ISBLANK(DD4),0,0.5)</f>
        <v>0</v>
      </c>
      <c r="DF4" s="42">
        <f aca="true" t="shared" si="37" ref="DF4:DF9">I4+Q4+V4+AB4+AH4+AM4+BO4+BQ4+BY4+CF4+CH4+CL4+CP4+CU4+CW4+CY4+DC4+DE4</f>
        <v>6</v>
      </c>
      <c r="DG4" s="47"/>
    </row>
    <row r="5" spans="1:111" ht="17.25" customHeight="1">
      <c r="A5" s="1" t="s">
        <v>31</v>
      </c>
      <c r="B5" s="19">
        <v>107</v>
      </c>
      <c r="C5" s="49">
        <v>1350.5</v>
      </c>
      <c r="D5" s="19">
        <v>1002.3</v>
      </c>
      <c r="E5" s="17">
        <v>0</v>
      </c>
      <c r="F5" s="51">
        <v>300.3</v>
      </c>
      <c r="G5" s="33">
        <f t="shared" si="0"/>
        <v>-0.5551407237219989</v>
      </c>
      <c r="H5" s="25" t="s">
        <v>15</v>
      </c>
      <c r="I5" s="41">
        <f>IF(G5&lt;=0.05,1,0)</f>
        <v>1</v>
      </c>
      <c r="J5" s="55"/>
      <c r="K5" s="55">
        <v>5884.1</v>
      </c>
      <c r="L5" s="55">
        <v>4966.7</v>
      </c>
      <c r="M5" s="55"/>
      <c r="N5" s="55"/>
      <c r="O5" s="33">
        <f t="shared" si="1"/>
        <v>0</v>
      </c>
      <c r="P5" s="56" t="s">
        <v>63</v>
      </c>
      <c r="Q5" s="41">
        <f t="shared" si="2"/>
        <v>1</v>
      </c>
      <c r="R5" s="55"/>
      <c r="S5" s="55">
        <v>1E-05</v>
      </c>
      <c r="T5" s="56">
        <f t="shared" si="3"/>
        <v>0</v>
      </c>
      <c r="U5" s="57" t="s">
        <v>16</v>
      </c>
      <c r="V5" s="41">
        <f t="shared" si="4"/>
        <v>1</v>
      </c>
      <c r="W5" s="55"/>
      <c r="X5" s="55">
        <v>1350.5</v>
      </c>
      <c r="Y5" s="55">
        <v>18.4</v>
      </c>
      <c r="Z5" s="33">
        <f t="shared" si="5"/>
        <v>0</v>
      </c>
      <c r="AA5" s="57" t="s">
        <v>70</v>
      </c>
      <c r="AB5" s="41">
        <f t="shared" si="6"/>
        <v>1</v>
      </c>
      <c r="AC5" s="55"/>
      <c r="AD5" s="55">
        <v>107</v>
      </c>
      <c r="AE5" s="55"/>
      <c r="AF5" s="33">
        <f t="shared" si="7"/>
        <v>0</v>
      </c>
      <c r="AG5" s="57" t="s">
        <v>16</v>
      </c>
      <c r="AH5" s="41">
        <f t="shared" si="8"/>
        <v>1</v>
      </c>
      <c r="AI5" s="11">
        <v>1272.2</v>
      </c>
      <c r="AJ5" s="11">
        <v>1449</v>
      </c>
      <c r="AK5" s="34">
        <f t="shared" si="9"/>
        <v>0.8779848171152519</v>
      </c>
      <c r="AL5" s="25" t="s">
        <v>16</v>
      </c>
      <c r="AM5" s="30">
        <f t="shared" si="10"/>
        <v>1</v>
      </c>
      <c r="AN5" s="19">
        <v>253</v>
      </c>
      <c r="AO5" s="19">
        <v>499.6</v>
      </c>
      <c r="AP5" s="38">
        <f t="shared" si="11"/>
        <v>0.5064051240992794</v>
      </c>
      <c r="AQ5" s="25" t="s">
        <v>16</v>
      </c>
      <c r="AR5" s="30">
        <f t="shared" si="12"/>
        <v>1</v>
      </c>
      <c r="AS5" s="28">
        <v>1</v>
      </c>
      <c r="AT5" s="25" t="s">
        <v>21</v>
      </c>
      <c r="AU5" s="30">
        <f t="shared" si="13"/>
        <v>1</v>
      </c>
      <c r="AV5" s="11"/>
      <c r="AW5" s="11"/>
      <c r="AX5" s="34" t="e">
        <f t="shared" si="14"/>
        <v>#DIV/0!</v>
      </c>
      <c r="AY5" s="30" t="e">
        <f t="shared" si="15"/>
        <v>#DIV/0!</v>
      </c>
      <c r="AZ5" s="19">
        <v>224.7</v>
      </c>
      <c r="BA5" s="12">
        <v>217.3</v>
      </c>
      <c r="BB5" s="34">
        <f t="shared" si="16"/>
        <v>1.034054302807179</v>
      </c>
      <c r="BC5" s="30">
        <f t="shared" si="17"/>
        <v>0</v>
      </c>
      <c r="BD5" s="11">
        <v>525.6</v>
      </c>
      <c r="BE5" s="12">
        <v>712.6</v>
      </c>
      <c r="BF5" s="11">
        <v>433</v>
      </c>
      <c r="BG5" s="11">
        <v>858.1</v>
      </c>
      <c r="BH5" s="34">
        <f>(BD5/BE5)/(BF5/BG5)</f>
        <v>1.461704365952609</v>
      </c>
      <c r="BI5" s="30">
        <f>IF(BH5&gt;=1,1,0)</f>
        <v>1</v>
      </c>
      <c r="BJ5" s="11"/>
      <c r="BK5" s="11">
        <v>1332.1</v>
      </c>
      <c r="BL5" s="49"/>
      <c r="BM5" s="11"/>
      <c r="BN5" s="43">
        <f t="shared" si="18"/>
        <v>0</v>
      </c>
      <c r="BO5" s="81">
        <f t="shared" si="19"/>
        <v>0</v>
      </c>
      <c r="BP5" s="11">
        <v>0</v>
      </c>
      <c r="BQ5" s="30">
        <f t="shared" si="20"/>
        <v>0</v>
      </c>
      <c r="BR5" s="11"/>
      <c r="BS5" s="11"/>
      <c r="BT5" s="11"/>
      <c r="BU5" s="18"/>
      <c r="BV5" s="18" t="e">
        <f t="shared" si="21"/>
        <v>#DIV/0!</v>
      </c>
      <c r="BW5" s="18" t="e">
        <f t="shared" si="22"/>
        <v>#DIV/0!</v>
      </c>
      <c r="BX5" s="28"/>
      <c r="BY5" s="30">
        <f t="shared" si="23"/>
        <v>0</v>
      </c>
      <c r="BZ5" s="11">
        <v>1</v>
      </c>
      <c r="CA5" s="11">
        <v>1</v>
      </c>
      <c r="CB5" s="11"/>
      <c r="CC5" s="11"/>
      <c r="CD5" s="11">
        <v>1</v>
      </c>
      <c r="CE5" s="25">
        <f t="shared" si="24"/>
        <v>3</v>
      </c>
      <c r="CF5" s="30">
        <f t="shared" si="25"/>
        <v>0</v>
      </c>
      <c r="CG5" s="11"/>
      <c r="CH5" s="30">
        <f t="shared" si="26"/>
        <v>0</v>
      </c>
      <c r="CI5" s="83">
        <v>21.3</v>
      </c>
      <c r="CJ5" s="83">
        <v>23</v>
      </c>
      <c r="CK5" s="53">
        <f t="shared" si="27"/>
        <v>0.9260869565217391</v>
      </c>
      <c r="CL5" s="30">
        <f t="shared" si="28"/>
        <v>1</v>
      </c>
      <c r="CM5" s="63"/>
      <c r="CN5" s="63"/>
      <c r="CO5" s="43"/>
      <c r="CP5" s="30">
        <f t="shared" si="29"/>
        <v>1</v>
      </c>
      <c r="CQ5" s="86">
        <v>222.8</v>
      </c>
      <c r="CR5" s="18">
        <v>185.6</v>
      </c>
      <c r="CS5" s="60">
        <f t="shared" si="30"/>
        <v>1.2004310344827587</v>
      </c>
      <c r="CT5" s="25">
        <v>1.0213</v>
      </c>
      <c r="CU5" s="58">
        <f t="shared" si="31"/>
        <v>0</v>
      </c>
      <c r="CV5" s="59"/>
      <c r="CW5" s="58">
        <f t="shared" si="32"/>
        <v>0</v>
      </c>
      <c r="CX5" s="59"/>
      <c r="CY5" s="58">
        <f t="shared" si="33"/>
        <v>0</v>
      </c>
      <c r="CZ5" s="11">
        <v>1349.8</v>
      </c>
      <c r="DA5" s="11">
        <v>1349.8</v>
      </c>
      <c r="DB5" s="34">
        <f t="shared" si="34"/>
        <v>1</v>
      </c>
      <c r="DC5" s="62">
        <f t="shared" si="35"/>
        <v>1</v>
      </c>
      <c r="DD5" s="65"/>
      <c r="DE5" s="58">
        <f t="shared" si="36"/>
        <v>0</v>
      </c>
      <c r="DF5" s="42">
        <f t="shared" si="37"/>
        <v>9</v>
      </c>
      <c r="DG5" s="47"/>
    </row>
    <row r="6" spans="1:111" ht="15.75" customHeight="1">
      <c r="A6" s="1" t="s">
        <v>32</v>
      </c>
      <c r="B6" s="19">
        <v>633.4</v>
      </c>
      <c r="C6" s="49">
        <v>1228.1</v>
      </c>
      <c r="D6" s="19">
        <v>472.6</v>
      </c>
      <c r="E6" s="17">
        <v>0</v>
      </c>
      <c r="F6" s="51">
        <v>677.8</v>
      </c>
      <c r="G6" s="33">
        <f t="shared" si="0"/>
        <v>-0.05876902713434809</v>
      </c>
      <c r="H6" s="25" t="s">
        <v>15</v>
      </c>
      <c r="I6" s="41">
        <f>IF(G6&lt;=0.05,1,0)</f>
        <v>1</v>
      </c>
      <c r="J6" s="55"/>
      <c r="K6" s="55">
        <v>4705.3</v>
      </c>
      <c r="L6" s="55">
        <v>4090.5</v>
      </c>
      <c r="M6" s="55"/>
      <c r="N6" s="55"/>
      <c r="O6" s="33">
        <f t="shared" si="1"/>
        <v>0</v>
      </c>
      <c r="P6" s="56" t="s">
        <v>63</v>
      </c>
      <c r="Q6" s="41">
        <f t="shared" si="2"/>
        <v>1</v>
      </c>
      <c r="R6" s="55"/>
      <c r="S6" s="55">
        <v>1E-05</v>
      </c>
      <c r="T6" s="56">
        <f t="shared" si="3"/>
        <v>0</v>
      </c>
      <c r="U6" s="57" t="s">
        <v>16</v>
      </c>
      <c r="V6" s="41">
        <f t="shared" si="4"/>
        <v>1</v>
      </c>
      <c r="W6" s="55"/>
      <c r="X6" s="55">
        <v>1228.1</v>
      </c>
      <c r="Y6" s="55">
        <v>25.4</v>
      </c>
      <c r="Z6" s="33">
        <f t="shared" si="5"/>
        <v>0</v>
      </c>
      <c r="AA6" s="57" t="s">
        <v>70</v>
      </c>
      <c r="AB6" s="41">
        <f t="shared" si="6"/>
        <v>1</v>
      </c>
      <c r="AC6" s="55"/>
      <c r="AD6" s="55">
        <v>633.4</v>
      </c>
      <c r="AE6" s="55"/>
      <c r="AF6" s="33">
        <f t="shared" si="7"/>
        <v>0</v>
      </c>
      <c r="AG6" s="57" t="s">
        <v>16</v>
      </c>
      <c r="AH6" s="41">
        <f t="shared" si="8"/>
        <v>1</v>
      </c>
      <c r="AI6" s="11">
        <v>1065.2</v>
      </c>
      <c r="AJ6" s="11">
        <v>1391</v>
      </c>
      <c r="AK6" s="34">
        <f t="shared" si="9"/>
        <v>0.7657800143781452</v>
      </c>
      <c r="AL6" s="25" t="s">
        <v>16</v>
      </c>
      <c r="AM6" s="30">
        <f t="shared" si="10"/>
        <v>1</v>
      </c>
      <c r="AN6" s="19">
        <v>225.4</v>
      </c>
      <c r="AO6" s="19">
        <v>464.3</v>
      </c>
      <c r="AP6" s="38">
        <f t="shared" si="11"/>
        <v>0.4854619857850528</v>
      </c>
      <c r="AQ6" s="25" t="s">
        <v>16</v>
      </c>
      <c r="AR6" s="30">
        <f t="shared" si="12"/>
        <v>1</v>
      </c>
      <c r="AS6" s="28">
        <v>2</v>
      </c>
      <c r="AT6" s="25" t="s">
        <v>21</v>
      </c>
      <c r="AU6" s="30">
        <f t="shared" si="13"/>
        <v>1</v>
      </c>
      <c r="AV6" s="11"/>
      <c r="AW6" s="11"/>
      <c r="AX6" s="34" t="e">
        <f t="shared" si="14"/>
        <v>#DIV/0!</v>
      </c>
      <c r="AY6" s="30" t="e">
        <f t="shared" si="15"/>
        <v>#DIV/0!</v>
      </c>
      <c r="AZ6" s="19">
        <v>97.6</v>
      </c>
      <c r="BA6" s="12">
        <v>104.7</v>
      </c>
      <c r="BB6" s="34">
        <f t="shared" si="16"/>
        <v>0.9321872015281757</v>
      </c>
      <c r="BC6" s="30">
        <f t="shared" si="17"/>
        <v>0</v>
      </c>
      <c r="BD6" s="11">
        <v>281.3</v>
      </c>
      <c r="BE6" s="12">
        <v>462.7</v>
      </c>
      <c r="BF6" s="11">
        <v>220.1</v>
      </c>
      <c r="BG6" s="11">
        <v>471.9</v>
      </c>
      <c r="BH6" s="34">
        <f>(BD6/BE6)/(BF6/BG6)</f>
        <v>1.3034673808307853</v>
      </c>
      <c r="BI6" s="30">
        <f>IF(BH6&gt;=1,1,0)</f>
        <v>1</v>
      </c>
      <c r="BJ6" s="11"/>
      <c r="BK6" s="11">
        <v>1202.7</v>
      </c>
      <c r="BL6" s="49"/>
      <c r="BM6" s="11"/>
      <c r="BN6" s="43">
        <f t="shared" si="18"/>
        <v>0</v>
      </c>
      <c r="BO6" s="81">
        <f t="shared" si="19"/>
        <v>0</v>
      </c>
      <c r="BP6" s="11">
        <v>0</v>
      </c>
      <c r="BQ6" s="30">
        <f t="shared" si="20"/>
        <v>0</v>
      </c>
      <c r="BR6" s="11"/>
      <c r="BS6" s="11"/>
      <c r="BT6" s="11"/>
      <c r="BU6" s="18"/>
      <c r="BV6" s="18" t="e">
        <f t="shared" si="21"/>
        <v>#DIV/0!</v>
      </c>
      <c r="BW6" s="18" t="e">
        <f t="shared" si="22"/>
        <v>#DIV/0!</v>
      </c>
      <c r="BX6" s="28"/>
      <c r="BY6" s="30">
        <f t="shared" si="23"/>
        <v>0</v>
      </c>
      <c r="BZ6" s="11">
        <v>1</v>
      </c>
      <c r="CA6" s="11">
        <v>1</v>
      </c>
      <c r="CB6" s="11"/>
      <c r="CC6" s="11"/>
      <c r="CD6" s="11">
        <v>1</v>
      </c>
      <c r="CE6" s="25">
        <f t="shared" si="24"/>
        <v>3</v>
      </c>
      <c r="CF6" s="30">
        <f t="shared" si="25"/>
        <v>0</v>
      </c>
      <c r="CG6" s="11"/>
      <c r="CH6" s="30">
        <f t="shared" si="26"/>
        <v>0</v>
      </c>
      <c r="CI6" s="83">
        <v>5.7</v>
      </c>
      <c r="CJ6" s="83">
        <v>3.9</v>
      </c>
      <c r="CK6" s="53">
        <f t="shared" si="27"/>
        <v>1.4615384615384617</v>
      </c>
      <c r="CL6" s="30">
        <f t="shared" si="28"/>
        <v>-1</v>
      </c>
      <c r="CM6" s="63"/>
      <c r="CN6" s="63"/>
      <c r="CO6" s="43"/>
      <c r="CP6" s="30">
        <f t="shared" si="29"/>
        <v>1</v>
      </c>
      <c r="CQ6" s="86">
        <v>112.7</v>
      </c>
      <c r="CR6" s="18">
        <v>232.6</v>
      </c>
      <c r="CS6" s="60">
        <f t="shared" si="30"/>
        <v>0.4845227858985383</v>
      </c>
      <c r="CT6" s="25">
        <v>1.0213</v>
      </c>
      <c r="CU6" s="58">
        <f t="shared" si="31"/>
        <v>-1</v>
      </c>
      <c r="CV6" s="59"/>
      <c r="CW6" s="58">
        <f t="shared" si="32"/>
        <v>0</v>
      </c>
      <c r="CX6" s="59"/>
      <c r="CY6" s="58">
        <f t="shared" si="33"/>
        <v>0</v>
      </c>
      <c r="CZ6" s="11">
        <v>1227.6</v>
      </c>
      <c r="DA6" s="11">
        <v>1227.6</v>
      </c>
      <c r="DB6" s="34">
        <f t="shared" si="34"/>
        <v>1</v>
      </c>
      <c r="DC6" s="62">
        <f t="shared" si="35"/>
        <v>1</v>
      </c>
      <c r="DD6" s="65"/>
      <c r="DE6" s="58">
        <f t="shared" si="36"/>
        <v>0</v>
      </c>
      <c r="DF6" s="42">
        <f t="shared" si="37"/>
        <v>6</v>
      </c>
      <c r="DG6" s="47"/>
    </row>
    <row r="7" spans="1:111" ht="15" customHeight="1">
      <c r="A7" s="1" t="s">
        <v>33</v>
      </c>
      <c r="B7" s="19">
        <v>465.9</v>
      </c>
      <c r="C7" s="49">
        <v>2310.6</v>
      </c>
      <c r="D7" s="19">
        <v>1120.1</v>
      </c>
      <c r="E7" s="17">
        <v>0</v>
      </c>
      <c r="F7" s="51">
        <v>606.1</v>
      </c>
      <c r="G7" s="33">
        <f t="shared" si="0"/>
        <v>-0.11776564468710629</v>
      </c>
      <c r="H7" s="25" t="s">
        <v>15</v>
      </c>
      <c r="I7" s="41">
        <f>IF(G7&lt;=0.05,1,0)</f>
        <v>1</v>
      </c>
      <c r="J7" s="55"/>
      <c r="K7" s="55">
        <v>9265.5</v>
      </c>
      <c r="L7" s="55">
        <v>6638</v>
      </c>
      <c r="M7" s="55"/>
      <c r="N7" s="55"/>
      <c r="O7" s="33">
        <f t="shared" si="1"/>
        <v>0</v>
      </c>
      <c r="P7" s="56" t="s">
        <v>63</v>
      </c>
      <c r="Q7" s="41">
        <f t="shared" si="2"/>
        <v>1</v>
      </c>
      <c r="R7" s="55"/>
      <c r="S7" s="55">
        <v>1E-05</v>
      </c>
      <c r="T7" s="56">
        <f t="shared" si="3"/>
        <v>0</v>
      </c>
      <c r="U7" s="57" t="s">
        <v>16</v>
      </c>
      <c r="V7" s="41">
        <f t="shared" si="4"/>
        <v>1</v>
      </c>
      <c r="W7" s="55"/>
      <c r="X7" s="55">
        <v>2310.6</v>
      </c>
      <c r="Y7" s="55">
        <v>22.9</v>
      </c>
      <c r="Z7" s="33">
        <f t="shared" si="5"/>
        <v>0</v>
      </c>
      <c r="AA7" s="57" t="s">
        <v>70</v>
      </c>
      <c r="AB7" s="41">
        <f t="shared" si="6"/>
        <v>1</v>
      </c>
      <c r="AC7" s="55"/>
      <c r="AD7" s="55">
        <v>465.9</v>
      </c>
      <c r="AE7" s="55"/>
      <c r="AF7" s="33">
        <f t="shared" si="7"/>
        <v>0</v>
      </c>
      <c r="AG7" s="57" t="s">
        <v>16</v>
      </c>
      <c r="AH7" s="41">
        <f t="shared" si="8"/>
        <v>1</v>
      </c>
      <c r="AI7" s="11">
        <v>2183.8</v>
      </c>
      <c r="AJ7" s="11">
        <v>2434</v>
      </c>
      <c r="AK7" s="34">
        <f t="shared" si="9"/>
        <v>0.8972062448644208</v>
      </c>
      <c r="AL7" s="25" t="s">
        <v>16</v>
      </c>
      <c r="AM7" s="30">
        <f t="shared" si="10"/>
        <v>1</v>
      </c>
      <c r="AN7" s="19">
        <v>274.5</v>
      </c>
      <c r="AO7" s="19">
        <v>627.5</v>
      </c>
      <c r="AP7" s="38">
        <f t="shared" si="11"/>
        <v>0.43745019920318723</v>
      </c>
      <c r="AQ7" s="25" t="s">
        <v>16</v>
      </c>
      <c r="AR7" s="30">
        <f t="shared" si="12"/>
        <v>1</v>
      </c>
      <c r="AS7" s="28">
        <v>2</v>
      </c>
      <c r="AT7" s="25" t="s">
        <v>21</v>
      </c>
      <c r="AU7" s="30">
        <f t="shared" si="13"/>
        <v>1</v>
      </c>
      <c r="AV7" s="11"/>
      <c r="AW7" s="11"/>
      <c r="AX7" s="34" t="e">
        <f t="shared" si="14"/>
        <v>#DIV/0!</v>
      </c>
      <c r="AY7" s="30" t="e">
        <f t="shared" si="15"/>
        <v>#DIV/0!</v>
      </c>
      <c r="AZ7" s="19">
        <v>260.4</v>
      </c>
      <c r="BA7" s="12">
        <v>309.5</v>
      </c>
      <c r="BB7" s="34">
        <f t="shared" si="16"/>
        <v>0.8413570274636509</v>
      </c>
      <c r="BC7" s="30">
        <f t="shared" si="17"/>
        <v>0</v>
      </c>
      <c r="BD7" s="11">
        <v>689.6</v>
      </c>
      <c r="BE7" s="12">
        <v>755.7</v>
      </c>
      <c r="BF7" s="11">
        <v>628.2</v>
      </c>
      <c r="BG7" s="11">
        <v>1075.1</v>
      </c>
      <c r="BH7" s="34">
        <f>(BD7/BE7)/(BF7/BG7)</f>
        <v>1.5617041356959525</v>
      </c>
      <c r="BI7" s="30">
        <f>IF(BH7&gt;=1,1,0)</f>
        <v>1</v>
      </c>
      <c r="BJ7" s="11"/>
      <c r="BK7" s="11">
        <v>2287.7</v>
      </c>
      <c r="BL7" s="49"/>
      <c r="BM7" s="11"/>
      <c r="BN7" s="43">
        <f t="shared" si="18"/>
        <v>0</v>
      </c>
      <c r="BO7" s="81">
        <f t="shared" si="19"/>
        <v>0</v>
      </c>
      <c r="BP7" s="11">
        <v>0</v>
      </c>
      <c r="BQ7" s="30">
        <f t="shared" si="20"/>
        <v>0</v>
      </c>
      <c r="BR7" s="11"/>
      <c r="BS7" s="11"/>
      <c r="BT7" s="11"/>
      <c r="BU7" s="18"/>
      <c r="BV7" s="18" t="e">
        <f t="shared" si="21"/>
        <v>#DIV/0!</v>
      </c>
      <c r="BW7" s="18" t="e">
        <f t="shared" si="22"/>
        <v>#DIV/0!</v>
      </c>
      <c r="BX7" s="28"/>
      <c r="BY7" s="30">
        <f t="shared" si="23"/>
        <v>0</v>
      </c>
      <c r="BZ7" s="11">
        <v>1</v>
      </c>
      <c r="CA7" s="11">
        <v>1</v>
      </c>
      <c r="CB7" s="11"/>
      <c r="CC7" s="11"/>
      <c r="CD7" s="11">
        <v>1</v>
      </c>
      <c r="CE7" s="25">
        <f t="shared" si="24"/>
        <v>3</v>
      </c>
      <c r="CF7" s="30">
        <f t="shared" si="25"/>
        <v>0</v>
      </c>
      <c r="CG7" s="11"/>
      <c r="CH7" s="30">
        <f t="shared" si="26"/>
        <v>0</v>
      </c>
      <c r="CI7" s="83">
        <v>268.8</v>
      </c>
      <c r="CJ7" s="83">
        <v>228.5</v>
      </c>
      <c r="CK7" s="53">
        <f t="shared" si="27"/>
        <v>1.17636761487965</v>
      </c>
      <c r="CL7" s="30">
        <f t="shared" si="28"/>
        <v>-1</v>
      </c>
      <c r="CM7" s="63"/>
      <c r="CN7" s="63"/>
      <c r="CO7" s="43"/>
      <c r="CP7" s="30">
        <f t="shared" si="29"/>
        <v>1</v>
      </c>
      <c r="CQ7" s="86">
        <v>312.9</v>
      </c>
      <c r="CR7" s="18">
        <v>308.7</v>
      </c>
      <c r="CS7" s="60">
        <f t="shared" si="30"/>
        <v>1.0136054421768708</v>
      </c>
      <c r="CT7" s="25">
        <v>1.0213</v>
      </c>
      <c r="CU7" s="58">
        <f t="shared" si="31"/>
        <v>-1</v>
      </c>
      <c r="CV7" s="59"/>
      <c r="CW7" s="58">
        <f t="shared" si="32"/>
        <v>0</v>
      </c>
      <c r="CX7" s="59"/>
      <c r="CY7" s="58">
        <f t="shared" si="33"/>
        <v>0</v>
      </c>
      <c r="CZ7" s="11">
        <v>2309.6</v>
      </c>
      <c r="DA7" s="11">
        <v>2309.6</v>
      </c>
      <c r="DB7" s="34">
        <f t="shared" si="34"/>
        <v>1</v>
      </c>
      <c r="DC7" s="62">
        <f t="shared" si="35"/>
        <v>1</v>
      </c>
      <c r="DD7" s="65"/>
      <c r="DE7" s="58">
        <f t="shared" si="36"/>
        <v>0</v>
      </c>
      <c r="DF7" s="42">
        <f t="shared" si="37"/>
        <v>6</v>
      </c>
      <c r="DG7" s="47"/>
    </row>
    <row r="8" spans="1:124" s="5" customFormat="1" ht="13.5" customHeight="1">
      <c r="A8" s="1" t="s">
        <v>34</v>
      </c>
      <c r="B8" s="36">
        <v>210.5</v>
      </c>
      <c r="C8" s="51">
        <v>2602.8</v>
      </c>
      <c r="D8" s="36">
        <v>1512.3</v>
      </c>
      <c r="E8" s="17">
        <v>0</v>
      </c>
      <c r="F8" s="51">
        <v>504.7</v>
      </c>
      <c r="G8" s="33">
        <f t="shared" si="0"/>
        <v>-0.26978450252177893</v>
      </c>
      <c r="H8" s="25" t="s">
        <v>15</v>
      </c>
      <c r="I8" s="41">
        <f>IF(G8&lt;=0.1,1,0)</f>
        <v>1</v>
      </c>
      <c r="J8" s="55"/>
      <c r="K8" s="55">
        <v>10885.3</v>
      </c>
      <c r="L8" s="55">
        <v>9079.2</v>
      </c>
      <c r="M8" s="55"/>
      <c r="N8" s="55"/>
      <c r="O8" s="33">
        <f t="shared" si="1"/>
        <v>0</v>
      </c>
      <c r="P8" s="56" t="s">
        <v>63</v>
      </c>
      <c r="Q8" s="41">
        <f t="shared" si="2"/>
        <v>1</v>
      </c>
      <c r="R8" s="55"/>
      <c r="S8" s="55">
        <v>1E-05</v>
      </c>
      <c r="T8" s="56">
        <f t="shared" si="3"/>
        <v>0</v>
      </c>
      <c r="U8" s="57" t="s">
        <v>16</v>
      </c>
      <c r="V8" s="41">
        <f t="shared" si="4"/>
        <v>1</v>
      </c>
      <c r="W8" s="55"/>
      <c r="X8" s="55">
        <v>2602.8</v>
      </c>
      <c r="Y8" s="55">
        <v>23</v>
      </c>
      <c r="Z8" s="33">
        <f t="shared" si="5"/>
        <v>0</v>
      </c>
      <c r="AA8" s="57" t="s">
        <v>70</v>
      </c>
      <c r="AB8" s="41">
        <f t="shared" si="6"/>
        <v>1</v>
      </c>
      <c r="AC8" s="55"/>
      <c r="AD8" s="55">
        <v>210.5</v>
      </c>
      <c r="AE8" s="55"/>
      <c r="AF8" s="33">
        <f t="shared" si="7"/>
        <v>0</v>
      </c>
      <c r="AG8" s="57" t="s">
        <v>16</v>
      </c>
      <c r="AH8" s="41">
        <f t="shared" si="8"/>
        <v>1</v>
      </c>
      <c r="AI8" s="12">
        <v>2045.8</v>
      </c>
      <c r="AJ8" s="12">
        <v>2403</v>
      </c>
      <c r="AK8" s="35">
        <f t="shared" si="9"/>
        <v>0.8513524760715772</v>
      </c>
      <c r="AL8" s="25" t="s">
        <v>16</v>
      </c>
      <c r="AM8" s="30">
        <f t="shared" si="10"/>
        <v>1</v>
      </c>
      <c r="AN8" s="36">
        <v>279.9</v>
      </c>
      <c r="AO8" s="36">
        <v>650.4</v>
      </c>
      <c r="AP8" s="39">
        <f t="shared" si="11"/>
        <v>0.430350553505535</v>
      </c>
      <c r="AQ8" s="25" t="s">
        <v>16</v>
      </c>
      <c r="AR8" s="30">
        <f t="shared" si="12"/>
        <v>1</v>
      </c>
      <c r="AS8" s="37">
        <v>3</v>
      </c>
      <c r="AT8" s="25" t="s">
        <v>21</v>
      </c>
      <c r="AU8" s="30">
        <f t="shared" si="13"/>
        <v>1</v>
      </c>
      <c r="AV8" s="12"/>
      <c r="AW8" s="12"/>
      <c r="AX8" s="35" t="e">
        <f t="shared" si="14"/>
        <v>#DIV/0!</v>
      </c>
      <c r="AY8" s="30" t="e">
        <f t="shared" si="15"/>
        <v>#DIV/0!</v>
      </c>
      <c r="AZ8" s="36">
        <v>328.9</v>
      </c>
      <c r="BA8" s="12">
        <v>314.6</v>
      </c>
      <c r="BB8" s="35">
        <f t="shared" si="16"/>
        <v>1.0454545454545454</v>
      </c>
      <c r="BC8" s="30">
        <f t="shared" si="17"/>
        <v>0</v>
      </c>
      <c r="BD8" s="12">
        <v>814.6</v>
      </c>
      <c r="BE8" s="12">
        <v>1137.2</v>
      </c>
      <c r="BF8" s="12">
        <v>808.2</v>
      </c>
      <c r="BG8" s="12">
        <v>1458</v>
      </c>
      <c r="BH8" s="35">
        <f>(BD8/BE8)/(BF8/BG8)</f>
        <v>1.2922490828487427</v>
      </c>
      <c r="BI8" s="30">
        <f>IF(BH8&gt;=1,1,0)</f>
        <v>1</v>
      </c>
      <c r="BJ8" s="12"/>
      <c r="BK8" s="12">
        <v>2579.8</v>
      </c>
      <c r="BL8" s="50"/>
      <c r="BM8" s="12"/>
      <c r="BN8" s="43">
        <f t="shared" si="18"/>
        <v>0</v>
      </c>
      <c r="BO8" s="30">
        <f t="shared" si="19"/>
        <v>0</v>
      </c>
      <c r="BP8" s="12">
        <v>0</v>
      </c>
      <c r="BQ8" s="30">
        <f t="shared" si="20"/>
        <v>0</v>
      </c>
      <c r="BR8" s="12"/>
      <c r="BS8" s="12"/>
      <c r="BT8" s="12"/>
      <c r="BU8" s="12"/>
      <c r="BV8" s="12" t="e">
        <f t="shared" si="21"/>
        <v>#DIV/0!</v>
      </c>
      <c r="BW8" s="12" t="e">
        <f t="shared" si="22"/>
        <v>#DIV/0!</v>
      </c>
      <c r="BX8" s="37"/>
      <c r="BY8" s="30">
        <f t="shared" si="23"/>
        <v>0</v>
      </c>
      <c r="BZ8" s="12">
        <v>1</v>
      </c>
      <c r="CA8" s="12">
        <v>1</v>
      </c>
      <c r="CB8" s="12"/>
      <c r="CC8" s="12"/>
      <c r="CD8" s="12">
        <v>1</v>
      </c>
      <c r="CE8" s="25">
        <f t="shared" si="24"/>
        <v>3</v>
      </c>
      <c r="CF8" s="30">
        <f t="shared" si="25"/>
        <v>0</v>
      </c>
      <c r="CG8" s="12"/>
      <c r="CH8" s="30">
        <f t="shared" si="26"/>
        <v>0</v>
      </c>
      <c r="CI8" s="84">
        <v>30.9</v>
      </c>
      <c r="CJ8" s="84">
        <v>29.8</v>
      </c>
      <c r="CK8" s="54">
        <f t="shared" si="27"/>
        <v>1.0369127516778522</v>
      </c>
      <c r="CL8" s="30">
        <f t="shared" si="28"/>
        <v>-1</v>
      </c>
      <c r="CM8" s="63"/>
      <c r="CN8" s="63"/>
      <c r="CO8" s="43"/>
      <c r="CP8" s="30">
        <f t="shared" si="29"/>
        <v>1</v>
      </c>
      <c r="CQ8" s="86">
        <v>670.7</v>
      </c>
      <c r="CR8" s="18">
        <v>365</v>
      </c>
      <c r="CS8" s="60">
        <f t="shared" si="30"/>
        <v>1.8375342465753426</v>
      </c>
      <c r="CT8" s="25">
        <v>1.0213</v>
      </c>
      <c r="CU8" s="58">
        <f t="shared" si="31"/>
        <v>0</v>
      </c>
      <c r="CV8" s="59"/>
      <c r="CW8" s="58">
        <f t="shared" si="32"/>
        <v>0</v>
      </c>
      <c r="CX8" s="59"/>
      <c r="CY8" s="58">
        <f t="shared" si="33"/>
        <v>0</v>
      </c>
      <c r="CZ8" s="12">
        <v>2601.5</v>
      </c>
      <c r="DA8" s="12">
        <v>2601.5</v>
      </c>
      <c r="DB8" s="34">
        <f t="shared" si="34"/>
        <v>1</v>
      </c>
      <c r="DC8" s="62">
        <f t="shared" si="35"/>
        <v>1</v>
      </c>
      <c r="DD8" s="65"/>
      <c r="DE8" s="58">
        <f t="shared" si="36"/>
        <v>0</v>
      </c>
      <c r="DF8" s="42">
        <f t="shared" si="37"/>
        <v>7</v>
      </c>
      <c r="DG8" s="48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</row>
    <row r="9" spans="1:111" ht="13.5" customHeight="1">
      <c r="A9" s="1" t="s">
        <v>35</v>
      </c>
      <c r="B9" s="19">
        <v>341.8</v>
      </c>
      <c r="C9" s="52">
        <v>1135.1</v>
      </c>
      <c r="D9" s="19">
        <v>635.6</v>
      </c>
      <c r="E9" s="17">
        <v>0</v>
      </c>
      <c r="F9" s="51">
        <v>441.7</v>
      </c>
      <c r="G9" s="33">
        <f t="shared" si="0"/>
        <v>-0.2</v>
      </c>
      <c r="H9" s="25" t="s">
        <v>15</v>
      </c>
      <c r="I9" s="41">
        <f>IF(G9&lt;=0.05,1,0)</f>
        <v>1</v>
      </c>
      <c r="J9" s="55"/>
      <c r="K9" s="55">
        <v>4759.7</v>
      </c>
      <c r="L9" s="55">
        <v>4325.6</v>
      </c>
      <c r="M9" s="55"/>
      <c r="N9" s="55"/>
      <c r="O9" s="33">
        <f t="shared" si="1"/>
        <v>0</v>
      </c>
      <c r="P9" s="56" t="s">
        <v>63</v>
      </c>
      <c r="Q9" s="41">
        <f t="shared" si="2"/>
        <v>1</v>
      </c>
      <c r="R9" s="55"/>
      <c r="S9" s="55">
        <v>1E-05</v>
      </c>
      <c r="T9" s="56">
        <f t="shared" si="3"/>
        <v>0</v>
      </c>
      <c r="U9" s="57" t="s">
        <v>16</v>
      </c>
      <c r="V9" s="41">
        <f t="shared" si="4"/>
        <v>1</v>
      </c>
      <c r="W9" s="55"/>
      <c r="X9" s="55">
        <v>1135.1</v>
      </c>
      <c r="Y9" s="55">
        <v>23</v>
      </c>
      <c r="Z9" s="33">
        <f t="shared" si="5"/>
        <v>0</v>
      </c>
      <c r="AA9" s="57" t="s">
        <v>70</v>
      </c>
      <c r="AB9" s="41">
        <f t="shared" si="6"/>
        <v>1</v>
      </c>
      <c r="AC9" s="55"/>
      <c r="AD9" s="55">
        <v>341.8</v>
      </c>
      <c r="AE9" s="55"/>
      <c r="AF9" s="33">
        <f t="shared" si="7"/>
        <v>0</v>
      </c>
      <c r="AG9" s="57" t="s">
        <v>16</v>
      </c>
      <c r="AH9" s="41">
        <f t="shared" si="8"/>
        <v>1</v>
      </c>
      <c r="AI9" s="11">
        <v>1099.3</v>
      </c>
      <c r="AJ9" s="11">
        <v>1241</v>
      </c>
      <c r="AK9" s="34">
        <f t="shared" si="9"/>
        <v>0.8858178887993553</v>
      </c>
      <c r="AL9" s="25" t="s">
        <v>16</v>
      </c>
      <c r="AM9" s="30">
        <f t="shared" si="10"/>
        <v>1</v>
      </c>
      <c r="AN9" s="19">
        <v>206.2</v>
      </c>
      <c r="AO9" s="19">
        <v>462.6</v>
      </c>
      <c r="AP9" s="38">
        <f t="shared" si="11"/>
        <v>0.4457414613056636</v>
      </c>
      <c r="AQ9" s="25" t="s">
        <v>16</v>
      </c>
      <c r="AR9" s="30">
        <f t="shared" si="12"/>
        <v>1</v>
      </c>
      <c r="AS9" s="28">
        <v>3</v>
      </c>
      <c r="AT9" s="25" t="s">
        <v>21</v>
      </c>
      <c r="AU9" s="30">
        <f t="shared" si="13"/>
        <v>1</v>
      </c>
      <c r="AV9" s="11"/>
      <c r="AW9" s="11"/>
      <c r="AX9" s="34" t="e">
        <f t="shared" si="14"/>
        <v>#DIV/0!</v>
      </c>
      <c r="AY9" s="30" t="e">
        <f t="shared" si="15"/>
        <v>#DIV/0!</v>
      </c>
      <c r="AZ9" s="19">
        <v>56.5</v>
      </c>
      <c r="BA9" s="12">
        <v>34.9</v>
      </c>
      <c r="BB9" s="34">
        <f t="shared" si="16"/>
        <v>1.6189111747851004</v>
      </c>
      <c r="BC9" s="30">
        <f t="shared" si="17"/>
        <v>0</v>
      </c>
      <c r="BD9" s="11">
        <v>92.3</v>
      </c>
      <c r="BE9" s="12">
        <v>757.2</v>
      </c>
      <c r="BF9" s="11">
        <v>82.5</v>
      </c>
      <c r="BG9" s="11">
        <v>1073.9</v>
      </c>
      <c r="BH9" s="34">
        <f>(BD9/BE9)/(BF9/BG9)</f>
        <v>1.586722534377051</v>
      </c>
      <c r="BI9" s="30">
        <f>IF(BH9&gt;=1,1,0)</f>
        <v>1</v>
      </c>
      <c r="BJ9" s="11"/>
      <c r="BK9" s="11">
        <v>1112.1</v>
      </c>
      <c r="BL9" s="49"/>
      <c r="BM9" s="11"/>
      <c r="BN9" s="43">
        <f t="shared" si="18"/>
        <v>0</v>
      </c>
      <c r="BO9" s="30">
        <f t="shared" si="19"/>
        <v>0</v>
      </c>
      <c r="BP9" s="11">
        <v>0</v>
      </c>
      <c r="BQ9" s="30">
        <f t="shared" si="20"/>
        <v>0</v>
      </c>
      <c r="BR9" s="11"/>
      <c r="BS9" s="11"/>
      <c r="BT9" s="11"/>
      <c r="BU9" s="18"/>
      <c r="BV9" s="18" t="e">
        <f t="shared" si="21"/>
        <v>#DIV/0!</v>
      </c>
      <c r="BW9" s="18" t="e">
        <f t="shared" si="22"/>
        <v>#DIV/0!</v>
      </c>
      <c r="BX9" s="28"/>
      <c r="BY9" s="30">
        <f t="shared" si="23"/>
        <v>0</v>
      </c>
      <c r="BZ9" s="11">
        <v>1</v>
      </c>
      <c r="CA9" s="11">
        <v>1</v>
      </c>
      <c r="CB9" s="11"/>
      <c r="CC9" s="11"/>
      <c r="CD9" s="11">
        <v>1</v>
      </c>
      <c r="CE9" s="25">
        <f t="shared" si="24"/>
        <v>3</v>
      </c>
      <c r="CF9" s="30">
        <f t="shared" si="25"/>
        <v>0</v>
      </c>
      <c r="CG9" s="11"/>
      <c r="CH9" s="30">
        <f t="shared" si="26"/>
        <v>0</v>
      </c>
      <c r="CI9" s="85">
        <v>8.8</v>
      </c>
      <c r="CJ9" s="85">
        <v>8.3</v>
      </c>
      <c r="CK9" s="53">
        <f t="shared" si="27"/>
        <v>1.0602409638554218</v>
      </c>
      <c r="CL9" s="30">
        <f t="shared" si="28"/>
        <v>-1</v>
      </c>
      <c r="CM9" s="63"/>
      <c r="CN9" s="63"/>
      <c r="CO9" s="43"/>
      <c r="CP9" s="30">
        <f t="shared" si="29"/>
        <v>1</v>
      </c>
      <c r="CQ9" s="86">
        <v>78.2</v>
      </c>
      <c r="CR9" s="18">
        <v>81.6</v>
      </c>
      <c r="CS9" s="60">
        <f t="shared" si="30"/>
        <v>0.9583333333333335</v>
      </c>
      <c r="CT9" s="25">
        <v>1.0213</v>
      </c>
      <c r="CU9" s="58">
        <f t="shared" si="31"/>
        <v>-1</v>
      </c>
      <c r="CV9" s="59"/>
      <c r="CW9" s="58">
        <f t="shared" si="32"/>
        <v>0</v>
      </c>
      <c r="CX9" s="59"/>
      <c r="CY9" s="58">
        <f t="shared" si="33"/>
        <v>0</v>
      </c>
      <c r="CZ9" s="11">
        <v>1134.6</v>
      </c>
      <c r="DA9" s="11">
        <v>1134.6</v>
      </c>
      <c r="DB9" s="34">
        <f t="shared" si="34"/>
        <v>1</v>
      </c>
      <c r="DC9" s="62">
        <f t="shared" si="35"/>
        <v>1</v>
      </c>
      <c r="DD9" s="65"/>
      <c r="DE9" s="58">
        <f t="shared" si="36"/>
        <v>0</v>
      </c>
      <c r="DF9" s="42">
        <f t="shared" si="37"/>
        <v>6</v>
      </c>
      <c r="DG9" s="47"/>
    </row>
    <row r="10" spans="2:97" ht="18" customHeight="1">
      <c r="B10" s="21"/>
      <c r="G10" s="32"/>
      <c r="H10" s="24"/>
      <c r="AD10" s="20" t="s">
        <v>98</v>
      </c>
      <c r="BG10" s="23"/>
      <c r="BN10" s="40"/>
      <c r="CQ10" s="4">
        <f>SUBTOTAL(9,CQ4:CQ9)</f>
        <v>3498.8999999999996</v>
      </c>
      <c r="CR10" s="4">
        <f>SUBTOTAL(9,CR4:CR9)</f>
        <v>3425.9999999999995</v>
      </c>
      <c r="CS10" s="61">
        <f>CQ10/CR10</f>
        <v>1.021278458844133</v>
      </c>
    </row>
    <row r="11" ht="41.25" customHeight="1"/>
  </sheetData>
  <sheetProtection/>
  <autoFilter ref="A3:DT3"/>
  <mergeCells count="25">
    <mergeCell ref="A2:A3"/>
    <mergeCell ref="B2:I2"/>
    <mergeCell ref="AI2:AM2"/>
    <mergeCell ref="AS2:AU2"/>
    <mergeCell ref="AN2:AR2"/>
    <mergeCell ref="R2:V2"/>
    <mergeCell ref="J2:Q2"/>
    <mergeCell ref="W2:AB2"/>
    <mergeCell ref="DD2:DE2"/>
    <mergeCell ref="CG2:CH2"/>
    <mergeCell ref="CI2:CL2"/>
    <mergeCell ref="CZ2:DC2"/>
    <mergeCell ref="CM2:CP2"/>
    <mergeCell ref="CQ2:CU2"/>
    <mergeCell ref="CV2:CW2"/>
    <mergeCell ref="CX2:CY2"/>
    <mergeCell ref="BZ2:CF2"/>
    <mergeCell ref="BX2:BY2"/>
    <mergeCell ref="BR2:BW2"/>
    <mergeCell ref="AC2:AH2"/>
    <mergeCell ref="BP2:BQ2"/>
    <mergeCell ref="BD2:BI2"/>
    <mergeCell ref="BJ2:BO2"/>
    <mergeCell ref="AV2:AY2"/>
    <mergeCell ref="AZ2:BC2"/>
  </mergeCells>
  <conditionalFormatting sqref="I4:I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4:AM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4:AR9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4:AU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C4:BC9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O4:BO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4:BQ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4:BW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4:BY9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4:CF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H4:CH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L4:CL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4:DC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Оносова ТВ</cp:lastModifiedBy>
  <cp:lastPrinted>2022-11-24T05:24:21Z</cp:lastPrinted>
  <dcterms:created xsi:type="dcterms:W3CDTF">2009-01-27T10:52:16Z</dcterms:created>
  <dcterms:modified xsi:type="dcterms:W3CDTF">2023-06-09T07:18:40Z</dcterms:modified>
  <cp:category/>
  <cp:version/>
  <cp:contentType/>
  <cp:contentStatus/>
</cp:coreProperties>
</file>